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aefeh\Desktop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J29" i="1" s="1"/>
  <c r="I28" i="1"/>
  <c r="H28" i="1"/>
  <c r="G28" i="1"/>
  <c r="F28" i="1"/>
  <c r="E28" i="1"/>
  <c r="E29" i="1" s="1"/>
  <c r="AC27" i="1"/>
  <c r="AB27" i="1"/>
  <c r="AA27" i="1"/>
  <c r="Z27" i="1"/>
  <c r="X27" i="1"/>
  <c r="W27" i="1"/>
  <c r="V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C24" i="1"/>
  <c r="AC28" i="1" s="1"/>
  <c r="AB24" i="1"/>
  <c r="AB28" i="1" s="1"/>
  <c r="AA24" i="1"/>
  <c r="AA28" i="1" s="1"/>
  <c r="Z24" i="1"/>
  <c r="Z28" i="1" s="1"/>
  <c r="Y24" i="1"/>
  <c r="Y28" i="1" s="1"/>
  <c r="Y29" i="1" s="1"/>
  <c r="X24" i="1"/>
  <c r="X28" i="1" s="1"/>
  <c r="X29" i="1" s="1"/>
  <c r="M24" i="1"/>
  <c r="L24" i="1"/>
  <c r="K24" i="1"/>
  <c r="J24" i="1"/>
  <c r="I24" i="1"/>
  <c r="H24" i="1"/>
  <c r="G24" i="1"/>
  <c r="F24" i="1"/>
  <c r="E24" i="1"/>
  <c r="R23" i="1"/>
  <c r="Q23" i="1"/>
  <c r="P23" i="1"/>
  <c r="O23" i="1"/>
  <c r="O24" i="1" s="1"/>
  <c r="N23" i="1"/>
  <c r="N28" i="1" s="1"/>
  <c r="V22" i="1"/>
  <c r="U22" i="1"/>
  <c r="T22" i="1"/>
  <c r="S22" i="1"/>
  <c r="R22" i="1"/>
  <c r="Q22" i="1"/>
  <c r="P22" i="1"/>
  <c r="W21" i="1"/>
  <c r="T21" i="1"/>
  <c r="AD19" i="1"/>
  <c r="AD18" i="1"/>
  <c r="AA17" i="1"/>
  <c r="Z17" i="1"/>
  <c r="Y17" i="1"/>
  <c r="W16" i="1"/>
  <c r="V16" i="1"/>
  <c r="V17" i="1" s="1"/>
  <c r="U16" i="1"/>
  <c r="U17" i="1" s="1"/>
  <c r="T16" i="1"/>
  <c r="T17" i="1" s="1"/>
  <c r="S16" i="1"/>
  <c r="S17" i="1" s="1"/>
  <c r="AD15" i="1"/>
  <c r="X14" i="1"/>
  <c r="V14" i="1"/>
  <c r="U14" i="1"/>
  <c r="S14" i="1"/>
  <c r="W13" i="1"/>
  <c r="T13" i="1"/>
  <c r="T14" i="1" s="1"/>
  <c r="AD12" i="1"/>
  <c r="X11" i="1"/>
  <c r="S11" i="1"/>
  <c r="W10" i="1"/>
  <c r="W11" i="1" s="1"/>
  <c r="V10" i="1"/>
  <c r="U10" i="1"/>
  <c r="U11" i="1" s="1"/>
  <c r="T10" i="1"/>
  <c r="T11" i="1" s="1"/>
  <c r="R10" i="1"/>
  <c r="R11" i="1" s="1"/>
  <c r="Q10" i="1"/>
  <c r="Q11" i="1" s="1"/>
  <c r="AD9" i="1"/>
  <c r="AD7" i="1"/>
  <c r="AD6" i="1"/>
  <c r="AC5" i="1"/>
  <c r="AB5" i="1"/>
  <c r="AA5" i="1"/>
  <c r="Z5" i="1"/>
  <c r="Y5" i="1"/>
  <c r="X5" i="1"/>
  <c r="N5" i="1"/>
  <c r="M5" i="1"/>
  <c r="L5" i="1"/>
  <c r="K5" i="1"/>
  <c r="J5" i="1"/>
  <c r="I5" i="1"/>
  <c r="H5" i="1"/>
  <c r="G5" i="1"/>
  <c r="F5" i="1"/>
  <c r="E5" i="1"/>
  <c r="Q5" i="1"/>
  <c r="AD3" i="1"/>
  <c r="N29" i="1" l="1"/>
  <c r="K29" i="1"/>
  <c r="L29" i="1"/>
  <c r="M29" i="1"/>
  <c r="I29" i="1"/>
  <c r="O28" i="1"/>
  <c r="O29" i="1" s="1"/>
  <c r="N24" i="1"/>
  <c r="AD27" i="1"/>
  <c r="G29" i="1"/>
  <c r="H29" i="1"/>
  <c r="Q24" i="1"/>
  <c r="Q28" i="1"/>
  <c r="Q29" i="1" s="1"/>
  <c r="AD16" i="1"/>
  <c r="AD17" i="1" s="1"/>
  <c r="Z29" i="1"/>
  <c r="S28" i="1"/>
  <c r="S29" i="1" s="1"/>
  <c r="AD13" i="1"/>
  <c r="AD14" i="1" s="1"/>
  <c r="AD23" i="1"/>
  <c r="AB29" i="1"/>
  <c r="AD20" i="1"/>
  <c r="U24" i="1"/>
  <c r="AC29" i="1"/>
  <c r="AD21" i="1"/>
  <c r="F29" i="1"/>
  <c r="T28" i="1"/>
  <c r="T29" i="1" s="1"/>
  <c r="T5" i="1"/>
  <c r="T24" i="1"/>
  <c r="P24" i="1"/>
  <c r="AD4" i="1"/>
  <c r="AD5" i="1" s="1"/>
  <c r="P5" i="1"/>
  <c r="P28" i="1"/>
  <c r="U28" i="1"/>
  <c r="U29" i="1" s="1"/>
  <c r="U5" i="1"/>
  <c r="V24" i="1"/>
  <c r="R24" i="1"/>
  <c r="R28" i="1"/>
  <c r="R29" i="1" s="1"/>
  <c r="R5" i="1"/>
  <c r="V5" i="1"/>
  <c r="V28" i="1"/>
  <c r="V29" i="1" s="1"/>
  <c r="W5" i="1"/>
  <c r="W24" i="1"/>
  <c r="W28" i="1" s="1"/>
  <c r="W29" i="1" s="1"/>
  <c r="S24" i="1"/>
  <c r="W14" i="1"/>
  <c r="AD22" i="1"/>
  <c r="S5" i="1"/>
  <c r="AD10" i="1"/>
  <c r="AD11" i="1" s="1"/>
  <c r="AD24" i="1" l="1"/>
  <c r="AD28" i="1"/>
  <c r="AD29" i="1" s="1"/>
  <c r="P29" i="1"/>
</calcChain>
</file>

<file path=xl/sharedStrings.xml><?xml version="1.0" encoding="utf-8"?>
<sst xmlns="http://schemas.openxmlformats.org/spreadsheetml/2006/main" count="31" uniqueCount="29">
  <si>
    <t xml:space="preserve">آمارهاي تحقق اهداف بودجه اي واگذاري سهام و بنگاه ها توسط سازمان خصوصی سازی از سال 1380 لغايت 1404/03/31                                                                                                                                                         ارزش به ميليارد ريال       </t>
  </si>
  <si>
    <t>عنوان</t>
  </si>
  <si>
    <t>جمع كل</t>
  </si>
  <si>
    <t>تحقق اهداف  بودجه اي 
حاصل از واگذاري (ميليارد ريال)</t>
  </si>
  <si>
    <t>تكليف واريز به حساب درآمد عمومي به موجب قانون بودجه سالانه كل كشور</t>
  </si>
  <si>
    <t>درصد تحقق هدف حساب درآمد عمومي</t>
  </si>
  <si>
    <t>تکلیف در راستای ردیف درآمدی 310520 موضوع واگذاری سهام از طریق مزایده عمومی جهت تسویه بدهی دانشگاهها و دانشکده های علوم پزشکی وابسته به وزارت بهداشت</t>
  </si>
  <si>
    <t>عملکرد در راستای ردیف درآمدی 310520</t>
  </si>
  <si>
    <t>درصد تحقق ردیف درآمدی 310520</t>
  </si>
  <si>
    <t>تكليف واريز به حساب خاص خزانه به موجب قانون بودجه سالانه كل كشور جهت مصرف در موارد خاص</t>
  </si>
  <si>
    <t xml:space="preserve">عملكرد در راستاي واريز به حساب خاص خزانه </t>
  </si>
  <si>
    <t>درصد تحقق هدف حساب خاص</t>
  </si>
  <si>
    <t>تكليف در راستاي رديف درآمدي 310801 موضوع واگذاري باقيمانده سهام بانك ها و بيمه ها</t>
  </si>
  <si>
    <t>عملكرد در راستاي رديف درآمدي 310801</t>
  </si>
  <si>
    <t>درصد تحقق هدف رديف درآمدي 310801</t>
  </si>
  <si>
    <t xml:space="preserve">تكليف در راستاي رديف درآمدي 310515 موضوع واگذاري سهام متعلق به وزارت جهاد كشاورزي </t>
  </si>
  <si>
    <t>عملكرد در راستاي رديف درآمدي 310515</t>
  </si>
  <si>
    <t>درصد تحقق هدف رديف درآمدي 310515</t>
  </si>
  <si>
    <t xml:space="preserve">تكليف در راستاي رديف درآمدي 310516 </t>
  </si>
  <si>
    <t>عملكرد در راستاي رديف درآمدي 310516</t>
  </si>
  <si>
    <t>درصد تحقق هدف رديف درآمدي 310516</t>
  </si>
  <si>
    <t>عملكرد در راستاي واريز به حساب 108 موضوع تسويه بدهي كاركنان صندوق بازنشستگي فولاد</t>
  </si>
  <si>
    <t>واریز به ساير حساب هاي خاص خزانه در راستاي بندهاي قانون بودجه سالانه كل كشور</t>
  </si>
  <si>
    <t>تهاتر منابع حاصل از واگذاري با بدهي دولت به اشخاص</t>
  </si>
  <si>
    <t>جمع کل وجوه واریزی به خزانه به علاوه تهاتر</t>
  </si>
  <si>
    <t>مجموع تكليف (ميليارد ريال)</t>
  </si>
  <si>
    <t>مجموع عملكرد (ميليارد ريال)</t>
  </si>
  <si>
    <t>درصد تحقق كل هدف</t>
  </si>
  <si>
    <t>عملکرد در راستای واریز به حساب درآمد عمومی - 164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</si>
</sst>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_-;_-* #,##0.00\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B Titr"/>
      <charset val="178"/>
    </font>
    <font>
      <b/>
      <sz val="16"/>
      <name val="B Titr"/>
      <charset val="178"/>
    </font>
    <font>
      <b/>
      <sz val="16"/>
      <name val="B Lotus"/>
      <charset val="178"/>
    </font>
    <font>
      <sz val="16"/>
      <name val="B Lotus"/>
      <charset val="178"/>
    </font>
    <font>
      <sz val="16"/>
      <color theme="1"/>
      <name val="B Lotus"/>
      <charset val="178"/>
    </font>
    <font>
      <b/>
      <i/>
      <sz val="16"/>
      <name val="B Lotus"/>
      <charset val="178"/>
    </font>
    <font>
      <sz val="10"/>
      <name val="Arial"/>
      <family val="2"/>
    </font>
    <font>
      <i/>
      <sz val="16"/>
      <name val="B Lotus"/>
      <charset val="178"/>
    </font>
    <font>
      <b/>
      <sz val="16"/>
      <color theme="1"/>
      <name val="B Lotus"/>
      <charset val="178"/>
    </font>
    <font>
      <sz val="16"/>
      <name val="B Hom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9" fontId="7" fillId="2" borderId="20" xfId="1" applyFont="1" applyFill="1" applyBorder="1" applyAlignment="1">
      <alignment horizontal="center" vertical="center"/>
    </xf>
    <xf numFmtId="164" fontId="7" fillId="2" borderId="20" xfId="1" applyNumberFormat="1" applyFont="1" applyFill="1" applyBorder="1" applyAlignment="1">
      <alignment horizontal="center" vertical="center"/>
    </xf>
    <xf numFmtId="9" fontId="9" fillId="2" borderId="21" xfId="1" applyFont="1" applyFill="1" applyBorder="1" applyAlignment="1">
      <alignment horizontal="center" vertical="center"/>
    </xf>
    <xf numFmtId="3" fontId="7" fillId="3" borderId="22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9" fontId="7" fillId="2" borderId="17" xfId="1" applyNumberFormat="1" applyFont="1" applyFill="1" applyBorder="1" applyAlignment="1">
      <alignment horizontal="center" vertical="center"/>
    </xf>
    <xf numFmtId="0" fontId="9" fillId="2" borderId="21" xfId="1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5" fillId="3" borderId="24" xfId="0" applyNumberFormat="1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6" fillId="3" borderId="20" xfId="0" applyNumberFormat="1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/>
    </xf>
    <xf numFmtId="3" fontId="5" fillId="3" borderId="28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right" vertical="center" wrapText="1" readingOrder="2"/>
    </xf>
    <xf numFmtId="0" fontId="11" fillId="4" borderId="0" xfId="0" applyFont="1" applyFill="1" applyBorder="1" applyAlignment="1">
      <alignment horizontal="right" vertical="center" wrapText="1" readingOrder="2"/>
    </xf>
    <xf numFmtId="3" fontId="11" fillId="4" borderId="0" xfId="0" applyNumberFormat="1" applyFont="1" applyFill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center"/>
    </xf>
    <xf numFmtId="3" fontId="4" fillId="0" borderId="8" xfId="2" applyNumberFormat="1" applyFont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2" borderId="10" xfId="2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/>
    </xf>
    <xf numFmtId="9" fontId="7" fillId="2" borderId="21" xfId="1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top" wrapText="1" readingOrder="2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</cellXfs>
  <cellStyles count="3">
    <cellStyle name="Comma 3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rightToLeft="1" tabSelected="1" zoomScaleNormal="100" workbookViewId="0">
      <selection sqref="A1:AD1"/>
    </sheetView>
  </sheetViews>
  <sheetFormatPr defaultRowHeight="15" x14ac:dyDescent="0.25"/>
  <cols>
    <col min="1" max="1" width="12.28515625" bestFit="1" customWidth="1"/>
    <col min="2" max="2" width="23.5703125" customWidth="1"/>
    <col min="3" max="3" width="24.7109375" customWidth="1"/>
    <col min="4" max="4" width="29" customWidth="1"/>
    <col min="16" max="16" width="9.5703125" bestFit="1" customWidth="1"/>
    <col min="17" max="21" width="9.7109375" bestFit="1" customWidth="1"/>
    <col min="24" max="26" width="9.7109375" bestFit="1" customWidth="1"/>
    <col min="27" max="27" width="11.7109375" bestFit="1" customWidth="1"/>
    <col min="28" max="28" width="11.42578125" bestFit="1" customWidth="1"/>
    <col min="29" max="30" width="11.7109375" bestFit="1" customWidth="1"/>
  </cols>
  <sheetData>
    <row r="1" spans="1:30" ht="33" thickBo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32.25" x14ac:dyDescent="0.25">
      <c r="A2" s="1" t="s">
        <v>1</v>
      </c>
      <c r="B2" s="83"/>
      <c r="C2" s="84"/>
      <c r="D2" s="85"/>
      <c r="E2" s="2">
        <v>1380</v>
      </c>
      <c r="F2" s="2">
        <v>1381</v>
      </c>
      <c r="G2" s="2">
        <v>1382</v>
      </c>
      <c r="H2" s="2">
        <v>1383</v>
      </c>
      <c r="I2" s="2">
        <v>1384</v>
      </c>
      <c r="J2" s="2">
        <v>1385</v>
      </c>
      <c r="K2" s="2">
        <v>1386</v>
      </c>
      <c r="L2" s="2">
        <v>1387</v>
      </c>
      <c r="M2" s="2">
        <v>1388</v>
      </c>
      <c r="N2" s="2">
        <v>1389</v>
      </c>
      <c r="O2" s="2">
        <v>1390</v>
      </c>
      <c r="P2" s="2">
        <v>1391</v>
      </c>
      <c r="Q2" s="2">
        <v>1392</v>
      </c>
      <c r="R2" s="2">
        <v>1393</v>
      </c>
      <c r="S2" s="2">
        <v>1394</v>
      </c>
      <c r="T2" s="2">
        <v>1395</v>
      </c>
      <c r="U2" s="2">
        <v>1396</v>
      </c>
      <c r="V2" s="2">
        <v>1397</v>
      </c>
      <c r="W2" s="2">
        <v>1398</v>
      </c>
      <c r="X2" s="2">
        <v>1399</v>
      </c>
      <c r="Y2" s="2">
        <v>1400</v>
      </c>
      <c r="Z2" s="2">
        <v>1401</v>
      </c>
      <c r="AA2" s="2">
        <v>1402</v>
      </c>
      <c r="AB2" s="2">
        <v>1403</v>
      </c>
      <c r="AC2" s="2">
        <v>1404</v>
      </c>
      <c r="AD2" s="3" t="s">
        <v>2</v>
      </c>
    </row>
    <row r="3" spans="1:30" ht="29.25" x14ac:dyDescent="0.25">
      <c r="A3" s="86" t="s">
        <v>3</v>
      </c>
      <c r="B3" s="87" t="s">
        <v>4</v>
      </c>
      <c r="C3" s="87"/>
      <c r="D3" s="87"/>
      <c r="E3" s="4">
        <v>1200</v>
      </c>
      <c r="F3" s="4">
        <v>6000</v>
      </c>
      <c r="G3" s="4">
        <v>7000</v>
      </c>
      <c r="H3" s="4">
        <v>11000</v>
      </c>
      <c r="I3" s="4">
        <v>5000</v>
      </c>
      <c r="J3" s="4">
        <v>7400</v>
      </c>
      <c r="K3" s="4">
        <v>30000</v>
      </c>
      <c r="L3" s="4">
        <v>30000</v>
      </c>
      <c r="M3" s="4">
        <v>32100</v>
      </c>
      <c r="N3" s="4">
        <v>45000</v>
      </c>
      <c r="O3" s="4">
        <v>45000</v>
      </c>
      <c r="P3" s="5">
        <v>65000</v>
      </c>
      <c r="Q3" s="6">
        <v>62000</v>
      </c>
      <c r="R3" s="6">
        <v>77000</v>
      </c>
      <c r="S3" s="6">
        <v>145000</v>
      </c>
      <c r="T3" s="6">
        <v>115000</v>
      </c>
      <c r="U3" s="6">
        <v>79000</v>
      </c>
      <c r="V3" s="6">
        <v>48800</v>
      </c>
      <c r="W3" s="6">
        <v>34800</v>
      </c>
      <c r="X3" s="6">
        <v>41871</v>
      </c>
      <c r="Y3" s="6">
        <v>47000</v>
      </c>
      <c r="Z3" s="6">
        <v>708000</v>
      </c>
      <c r="AA3" s="6">
        <v>1058000</v>
      </c>
      <c r="AB3" s="6">
        <v>598500</v>
      </c>
      <c r="AC3" s="7">
        <v>1350000</v>
      </c>
      <c r="AD3" s="8">
        <f>SUM(E3:AC3)</f>
        <v>4649671</v>
      </c>
    </row>
    <row r="4" spans="1:30" ht="27" customHeight="1" x14ac:dyDescent="0.25">
      <c r="A4" s="86"/>
      <c r="B4" s="94" t="s">
        <v>28</v>
      </c>
      <c r="C4" s="95"/>
      <c r="D4" s="96"/>
      <c r="E4" s="4">
        <v>93.6</v>
      </c>
      <c r="F4" s="4">
        <v>1012.764</v>
      </c>
      <c r="G4" s="4">
        <v>2470.7170000000001</v>
      </c>
      <c r="H4" s="4">
        <v>2813.0540000000001</v>
      </c>
      <c r="I4" s="4">
        <v>1537.241</v>
      </c>
      <c r="J4" s="4">
        <v>1636.2929999999999</v>
      </c>
      <c r="K4" s="4">
        <v>6288.3720000000003</v>
      </c>
      <c r="L4" s="4">
        <v>15014.574000000001</v>
      </c>
      <c r="M4" s="4">
        <v>19496.367999999999</v>
      </c>
      <c r="N4" s="4">
        <v>38116</v>
      </c>
      <c r="O4" s="4">
        <v>53596</v>
      </c>
      <c r="P4" s="5">
        <v>51496</v>
      </c>
      <c r="Q4" s="6">
        <v>81558</v>
      </c>
      <c r="R4" s="6">
        <v>116831</v>
      </c>
      <c r="S4" s="6">
        <v>91878</v>
      </c>
      <c r="T4" s="6">
        <v>74116</v>
      </c>
      <c r="U4" s="6">
        <v>40725</v>
      </c>
      <c r="V4" s="6">
        <v>47435</v>
      </c>
      <c r="W4" s="6">
        <v>42925</v>
      </c>
      <c r="X4" s="6">
        <v>30028.368611687547</v>
      </c>
      <c r="Y4" s="6">
        <v>17579</v>
      </c>
      <c r="Z4" s="6">
        <v>329683.14</v>
      </c>
      <c r="AA4" s="6">
        <v>273604.65516831097</v>
      </c>
      <c r="AB4" s="6">
        <v>329556.7790605044</v>
      </c>
      <c r="AC4" s="7">
        <v>7114.3898689529997</v>
      </c>
      <c r="AD4" s="8">
        <f>SUM(E4:AC4)</f>
        <v>1676605.3157094559</v>
      </c>
    </row>
    <row r="5" spans="1:30" ht="30" thickBot="1" x14ac:dyDescent="0.3">
      <c r="A5" s="86"/>
      <c r="B5" s="91" t="s">
        <v>5</v>
      </c>
      <c r="C5" s="92"/>
      <c r="D5" s="93"/>
      <c r="E5" s="11">
        <f>E4/E3</f>
        <v>7.8E-2</v>
      </c>
      <c r="F5" s="11">
        <f>F4/F3</f>
        <v>0.168794</v>
      </c>
      <c r="G5" s="11">
        <f>G4/G3</f>
        <v>0.35295957142857143</v>
      </c>
      <c r="H5" s="11">
        <f>H4/H3</f>
        <v>0.2557321818181818</v>
      </c>
      <c r="I5" s="11">
        <f>I4/I3</f>
        <v>0.3074482</v>
      </c>
      <c r="J5" s="11">
        <f>J4/J3</f>
        <v>0.22112067567567567</v>
      </c>
      <c r="K5" s="11">
        <f>K4/K3</f>
        <v>0.2096124</v>
      </c>
      <c r="L5" s="11">
        <f>L4/L3</f>
        <v>0.50048579999999998</v>
      </c>
      <c r="M5" s="11">
        <f>M4/M3</f>
        <v>0.60736348909657312</v>
      </c>
      <c r="N5" s="11">
        <f>N4/N3</f>
        <v>0.84702222222222223</v>
      </c>
      <c r="O5" s="11">
        <v>1.19</v>
      </c>
      <c r="P5" s="11">
        <f>P4/P3</f>
        <v>0.79224615384615382</v>
      </c>
      <c r="Q5" s="11">
        <f>Q4/Q3</f>
        <v>1.3154516129032259</v>
      </c>
      <c r="R5" s="11">
        <f>R4/R3</f>
        <v>1.5172857142857143</v>
      </c>
      <c r="S5" s="11">
        <f>S4/S3</f>
        <v>0.63364137931034481</v>
      </c>
      <c r="T5" s="11">
        <f>T4/T3</f>
        <v>0.64448695652173915</v>
      </c>
      <c r="U5" s="11">
        <f>U4/U3</f>
        <v>0.51550632911392402</v>
      </c>
      <c r="V5" s="11">
        <f>V4/V3</f>
        <v>0.97202868852459012</v>
      </c>
      <c r="W5" s="11">
        <f>W4/W3</f>
        <v>1.2334770114942528</v>
      </c>
      <c r="X5" s="11">
        <f>X4/X3</f>
        <v>0.71716387503731815</v>
      </c>
      <c r="Y5" s="11">
        <f>Y4/Y3</f>
        <v>0.37402127659574469</v>
      </c>
      <c r="Z5" s="11">
        <f>Z4/Z3</f>
        <v>0.46565415254237291</v>
      </c>
      <c r="AA5" s="11">
        <f>AA4/AA3</f>
        <v>0.2586055341855491</v>
      </c>
      <c r="AB5" s="11">
        <f>AB4/AB3</f>
        <v>0.55063789316709177</v>
      </c>
      <c r="AC5" s="12">
        <f>AC4/AC3</f>
        <v>5.2699184214466668E-3</v>
      </c>
      <c r="AD5" s="13">
        <f>AD4/AD3</f>
        <v>0.36058579536260865</v>
      </c>
    </row>
    <row r="6" spans="1:30" ht="57.75" customHeight="1" x14ac:dyDescent="0.25">
      <c r="A6" s="86"/>
      <c r="B6" s="87" t="s">
        <v>6</v>
      </c>
      <c r="C6" s="87"/>
      <c r="D6" s="87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7">
        <v>800000</v>
      </c>
      <c r="AD6" s="8">
        <f>SUM(E6:AC6)</f>
        <v>800000</v>
      </c>
    </row>
    <row r="7" spans="1:30" ht="29.25" x14ac:dyDescent="0.25">
      <c r="A7" s="86"/>
      <c r="B7" s="87" t="s">
        <v>7</v>
      </c>
      <c r="C7" s="87"/>
      <c r="D7" s="8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5"/>
      <c r="R7" s="5"/>
      <c r="S7" s="9"/>
      <c r="T7" s="9"/>
      <c r="U7" s="9"/>
      <c r="V7" s="9"/>
      <c r="W7" s="9"/>
      <c r="X7" s="9"/>
      <c r="Y7" s="9"/>
      <c r="Z7" s="5"/>
      <c r="AA7" s="9"/>
      <c r="AB7" s="6"/>
      <c r="AC7" s="7">
        <v>0</v>
      </c>
      <c r="AD7" s="8">
        <f>SUM(E7:AC7)</f>
        <v>0</v>
      </c>
    </row>
    <row r="8" spans="1:30" ht="30" thickBot="1" x14ac:dyDescent="0.3">
      <c r="A8" s="86"/>
      <c r="B8" s="71" t="s">
        <v>8</v>
      </c>
      <c r="C8" s="72"/>
      <c r="D8" s="73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2"/>
      <c r="AB8" s="12"/>
      <c r="AC8" s="20">
        <v>0</v>
      </c>
      <c r="AD8" s="21">
        <v>0</v>
      </c>
    </row>
    <row r="9" spans="1:30" ht="59.25" customHeight="1" x14ac:dyDescent="0.25">
      <c r="A9" s="86"/>
      <c r="B9" s="88" t="s">
        <v>9</v>
      </c>
      <c r="C9" s="89"/>
      <c r="D9" s="9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16">
        <v>250000</v>
      </c>
      <c r="R9" s="16">
        <v>104000</v>
      </c>
      <c r="S9" s="16">
        <v>30000</v>
      </c>
      <c r="T9" s="16">
        <v>45000</v>
      </c>
      <c r="U9" s="16">
        <v>22000</v>
      </c>
      <c r="V9" s="16">
        <v>18200</v>
      </c>
      <c r="W9" s="16">
        <v>6950</v>
      </c>
      <c r="X9" s="16">
        <v>67000</v>
      </c>
      <c r="Y9" s="16">
        <v>900000</v>
      </c>
      <c r="Z9" s="16"/>
      <c r="AA9" s="16"/>
      <c r="AB9" s="16"/>
      <c r="AC9" s="22"/>
      <c r="AD9" s="8">
        <f>SUM(E9:AC9)</f>
        <v>1443150</v>
      </c>
    </row>
    <row r="10" spans="1:30" ht="29.25" x14ac:dyDescent="0.25">
      <c r="A10" s="86"/>
      <c r="B10" s="79" t="s">
        <v>10</v>
      </c>
      <c r="C10" s="80"/>
      <c r="D10" s="81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5">
        <f>(32763870973694)/1000000000</f>
        <v>32763.870973694</v>
      </c>
      <c r="R10" s="5">
        <f>(7168951620174)/1000000000</f>
        <v>7168.9516201739998</v>
      </c>
      <c r="S10" s="9">
        <v>2537</v>
      </c>
      <c r="T10" s="9">
        <f>(396729933698400%)/1000000000</f>
        <v>3967.2993369840001</v>
      </c>
      <c r="U10" s="9">
        <f>(606412391176)/1000000000</f>
        <v>606.41239117600003</v>
      </c>
      <c r="V10" s="9">
        <f>(666119093379)/1000000000</f>
        <v>666.11909337899999</v>
      </c>
      <c r="W10" s="9">
        <f>(16458612294845)/1000000000</f>
        <v>16458.612294844999</v>
      </c>
      <c r="X10" s="9">
        <v>234633.07717637281</v>
      </c>
      <c r="Y10" s="9"/>
      <c r="Z10" s="5"/>
      <c r="AA10" s="5"/>
      <c r="AB10" s="5"/>
      <c r="AC10" s="10"/>
      <c r="AD10" s="8">
        <f>SUM(E10:AC10)</f>
        <v>298801.3428866248</v>
      </c>
    </row>
    <row r="11" spans="1:30" ht="30" thickBot="1" x14ac:dyDescent="0.3">
      <c r="A11" s="86"/>
      <c r="B11" s="71" t="s">
        <v>11</v>
      </c>
      <c r="C11" s="72"/>
      <c r="D11" s="73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1">
        <f>Q10/Q9</f>
        <v>0.131055483894776</v>
      </c>
      <c r="R11" s="11">
        <f>R10/R9</f>
        <v>6.8932227117057696E-2</v>
      </c>
      <c r="S11" s="11">
        <f>S10/S9</f>
        <v>8.4566666666666665E-2</v>
      </c>
      <c r="T11" s="11">
        <f>T10/T9</f>
        <v>8.8162207488533331E-2</v>
      </c>
      <c r="U11" s="11">
        <f>U10/U9</f>
        <v>2.7564199598909093E-2</v>
      </c>
      <c r="V11" s="11">
        <v>0.04</v>
      </c>
      <c r="W11" s="11">
        <f>W10/W9</f>
        <v>2.3681456539345325</v>
      </c>
      <c r="X11" s="11">
        <f>X10/X9</f>
        <v>3.501986226513027</v>
      </c>
      <c r="Y11" s="19"/>
      <c r="Z11" s="19"/>
      <c r="AA11" s="19"/>
      <c r="AB11" s="19"/>
      <c r="AC11" s="23"/>
      <c r="AD11" s="13">
        <f>AD10/AD9</f>
        <v>0.20704801502728393</v>
      </c>
    </row>
    <row r="12" spans="1:30" ht="57.75" customHeight="1" x14ac:dyDescent="0.25">
      <c r="A12" s="86"/>
      <c r="B12" s="79" t="s">
        <v>12</v>
      </c>
      <c r="C12" s="80"/>
      <c r="D12" s="81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>
        <v>5000</v>
      </c>
      <c r="T12" s="25">
        <v>5000</v>
      </c>
      <c r="U12" s="25">
        <v>3500</v>
      </c>
      <c r="V12" s="25">
        <v>3500</v>
      </c>
      <c r="W12" s="25">
        <v>4000</v>
      </c>
      <c r="X12" s="25">
        <v>4000</v>
      </c>
      <c r="Y12" s="25"/>
      <c r="Z12" s="16">
        <v>2000</v>
      </c>
      <c r="AA12" s="24"/>
      <c r="AB12" s="26"/>
      <c r="AC12" s="27"/>
      <c r="AD12" s="8">
        <f>SUM(E12:AC12)</f>
        <v>27000</v>
      </c>
    </row>
    <row r="13" spans="1:30" ht="29.25" x14ac:dyDescent="0.25">
      <c r="A13" s="86"/>
      <c r="B13" s="79" t="s">
        <v>13</v>
      </c>
      <c r="C13" s="80"/>
      <c r="D13" s="8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4"/>
      <c r="Q13" s="14"/>
      <c r="R13" s="14"/>
      <c r="S13" s="29">
        <v>5000</v>
      </c>
      <c r="T13" s="29">
        <f>(50362397612)/1000000000</f>
        <v>50.362397612000002</v>
      </c>
      <c r="U13" s="29">
        <v>3</v>
      </c>
      <c r="V13" s="29">
        <v>343.56242771900003</v>
      </c>
      <c r="W13" s="29">
        <f>(648116138154)/1000000000</f>
        <v>648.11613815400005</v>
      </c>
      <c r="X13" s="29">
        <v>84560.388845741443</v>
      </c>
      <c r="Y13" s="29"/>
      <c r="Z13" s="30"/>
      <c r="AA13" s="30"/>
      <c r="AB13" s="30"/>
      <c r="AC13" s="31"/>
      <c r="AD13" s="8">
        <f>SUM(E13:AC13)</f>
        <v>90605.429809226451</v>
      </c>
    </row>
    <row r="14" spans="1:30" ht="30" thickBot="1" x14ac:dyDescent="0.3">
      <c r="A14" s="86"/>
      <c r="B14" s="71" t="s">
        <v>14</v>
      </c>
      <c r="C14" s="72"/>
      <c r="D14" s="73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1">
        <f t="shared" ref="S14:W14" si="0">S13/S12</f>
        <v>1</v>
      </c>
      <c r="T14" s="11">
        <f t="shared" si="0"/>
        <v>1.00724795224E-2</v>
      </c>
      <c r="U14" s="11">
        <f t="shared" si="0"/>
        <v>8.571428571428571E-4</v>
      </c>
      <c r="V14" s="11">
        <f t="shared" si="0"/>
        <v>9.8160693634000012E-2</v>
      </c>
      <c r="W14" s="11">
        <f t="shared" si="0"/>
        <v>0.16202903453850001</v>
      </c>
      <c r="X14" s="11">
        <f>X13/X12</f>
        <v>21.140097211435361</v>
      </c>
      <c r="Y14" s="19"/>
      <c r="Z14" s="19"/>
      <c r="AA14" s="19"/>
      <c r="AB14" s="19"/>
      <c r="AC14" s="23"/>
      <c r="AD14" s="13">
        <f>AD13/AD12</f>
        <v>3.3557566596009796</v>
      </c>
    </row>
    <row r="15" spans="1:30" ht="59.25" customHeight="1" x14ac:dyDescent="0.25">
      <c r="A15" s="86"/>
      <c r="B15" s="79" t="s">
        <v>15</v>
      </c>
      <c r="C15" s="80"/>
      <c r="D15" s="8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>
        <v>1000</v>
      </c>
      <c r="T15" s="34">
        <v>500</v>
      </c>
      <c r="U15" s="34">
        <v>500</v>
      </c>
      <c r="V15" s="34">
        <v>500</v>
      </c>
      <c r="W15" s="34">
        <v>5000</v>
      </c>
      <c r="X15" s="35">
        <v>2000</v>
      </c>
      <c r="Y15" s="16">
        <v>2000</v>
      </c>
      <c r="Z15" s="16">
        <v>2000</v>
      </c>
      <c r="AA15" s="16">
        <v>1500</v>
      </c>
      <c r="AB15" s="16">
        <v>1500</v>
      </c>
      <c r="AC15" s="22">
        <v>1500</v>
      </c>
      <c r="AD15" s="36">
        <f>SUM(E15:AC15)</f>
        <v>18000</v>
      </c>
    </row>
    <row r="16" spans="1:30" ht="29.25" x14ac:dyDescent="0.25">
      <c r="A16" s="86"/>
      <c r="B16" s="79" t="s">
        <v>16</v>
      </c>
      <c r="C16" s="80"/>
      <c r="D16" s="8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14"/>
      <c r="Q16" s="14"/>
      <c r="R16" s="14"/>
      <c r="S16" s="29">
        <f>(46587238042)/1000000000</f>
        <v>46.587238042000003</v>
      </c>
      <c r="T16" s="29">
        <f>(266181710038)/1000000000</f>
        <v>266.18171003800001</v>
      </c>
      <c r="U16" s="29">
        <f>(117791830820)/1000000000</f>
        <v>117.79183082</v>
      </c>
      <c r="V16" s="29">
        <f>(1796915776075.48)/1000000000</f>
        <v>1796.9157760754799</v>
      </c>
      <c r="W16" s="29">
        <f>(593406734348)/1000000000</f>
        <v>593.40673434799999</v>
      </c>
      <c r="X16" s="29">
        <v>856.33164188299997</v>
      </c>
      <c r="Y16" s="29">
        <v>798</v>
      </c>
      <c r="Z16" s="29">
        <v>256.60000000000002</v>
      </c>
      <c r="AA16" s="29">
        <v>260.58061389599999</v>
      </c>
      <c r="AB16" s="6">
        <v>102.7785289</v>
      </c>
      <c r="AC16" s="7">
        <v>1.1370229839999999</v>
      </c>
      <c r="AD16" s="8">
        <f>SUM(E16:AC16)</f>
        <v>5096.3110969864811</v>
      </c>
    </row>
    <row r="17" spans="1:30" ht="30" thickBot="1" x14ac:dyDescent="0.3">
      <c r="A17" s="86"/>
      <c r="B17" s="71" t="s">
        <v>17</v>
      </c>
      <c r="C17" s="72"/>
      <c r="D17" s="73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1">
        <f>(S16/S15)</f>
        <v>4.6587238042000004E-2</v>
      </c>
      <c r="T17" s="11">
        <f>(T16/T15)</f>
        <v>0.53236342007600002</v>
      </c>
      <c r="U17" s="11">
        <f>(U16/U15)</f>
        <v>0.23558366164</v>
      </c>
      <c r="V17" s="11">
        <f>V16/V15</f>
        <v>3.5938315521509598</v>
      </c>
      <c r="W17" s="11">
        <v>0.1</v>
      </c>
      <c r="X17" s="11">
        <v>0.1</v>
      </c>
      <c r="Y17" s="11">
        <f>Y16/Y15</f>
        <v>0.39900000000000002</v>
      </c>
      <c r="Z17" s="11">
        <f>Z16/Z15</f>
        <v>0.12830000000000003</v>
      </c>
      <c r="AA17" s="11">
        <f>AA16/AA15</f>
        <v>0.17372040926399998</v>
      </c>
      <c r="AB17" s="11">
        <v>0.82</v>
      </c>
      <c r="AC17" s="20"/>
      <c r="AD17" s="13">
        <f>AD16/AD15</f>
        <v>0.28312839427702674</v>
      </c>
    </row>
    <row r="18" spans="1:30" ht="29.25" x14ac:dyDescent="0.25">
      <c r="A18" s="86"/>
      <c r="B18" s="79" t="s">
        <v>18</v>
      </c>
      <c r="C18" s="80"/>
      <c r="D18" s="8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  <c r="T18" s="34"/>
      <c r="U18" s="34"/>
      <c r="V18" s="34"/>
      <c r="W18" s="34"/>
      <c r="X18" s="37">
        <v>5000</v>
      </c>
      <c r="Y18" s="37">
        <v>10000</v>
      </c>
      <c r="Z18" s="16"/>
      <c r="AA18" s="16">
        <v>500</v>
      </c>
      <c r="AB18" s="16">
        <v>0</v>
      </c>
      <c r="AC18" s="22"/>
      <c r="AD18" s="36">
        <f>SUM(E18:AC18)</f>
        <v>15500</v>
      </c>
    </row>
    <row r="19" spans="1:30" ht="29.25" x14ac:dyDescent="0.25">
      <c r="A19" s="86"/>
      <c r="B19" s="79" t="s">
        <v>19</v>
      </c>
      <c r="C19" s="80"/>
      <c r="D19" s="8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4"/>
      <c r="Q19" s="14"/>
      <c r="R19" s="14"/>
      <c r="S19" s="29"/>
      <c r="T19" s="29"/>
      <c r="U19" s="29"/>
      <c r="V19" s="29"/>
      <c r="W19" s="29"/>
      <c r="X19" s="29"/>
      <c r="Y19" s="29"/>
      <c r="Z19" s="30"/>
      <c r="AA19" s="30">
        <v>0</v>
      </c>
      <c r="AB19" s="30"/>
      <c r="AC19" s="31"/>
      <c r="AD19" s="8">
        <f>SUM(E19:AC19)</f>
        <v>0</v>
      </c>
    </row>
    <row r="20" spans="1:30" ht="30" thickBot="1" x14ac:dyDescent="0.3">
      <c r="A20" s="86"/>
      <c r="B20" s="71" t="s">
        <v>20</v>
      </c>
      <c r="C20" s="72"/>
      <c r="D20" s="7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>
        <v>0</v>
      </c>
      <c r="AB20" s="19"/>
      <c r="AC20" s="23"/>
      <c r="AD20" s="38">
        <f>AD19/AD18</f>
        <v>0</v>
      </c>
    </row>
    <row r="21" spans="1:30" ht="59.25" customHeight="1" thickBot="1" x14ac:dyDescent="0.3">
      <c r="A21" s="86"/>
      <c r="B21" s="71" t="s">
        <v>21</v>
      </c>
      <c r="C21" s="72"/>
      <c r="D21" s="73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9">
        <f>(1247490075920)/1000000000</f>
        <v>1247.49007592</v>
      </c>
      <c r="U21" s="40">
        <v>325.39999999999998</v>
      </c>
      <c r="V21" s="40">
        <v>1324.428451322</v>
      </c>
      <c r="W21" s="40">
        <f>(266588778113)/1000000000</f>
        <v>266.58877811299999</v>
      </c>
      <c r="X21" s="40">
        <v>1029.56388599</v>
      </c>
      <c r="Y21" s="40"/>
      <c r="Z21" s="40"/>
      <c r="AA21" s="40"/>
      <c r="AB21" s="40"/>
      <c r="AC21" s="41"/>
      <c r="AD21" s="42">
        <f>SUM(E21:AC21)</f>
        <v>4193.4711913450001</v>
      </c>
    </row>
    <row r="22" spans="1:30" ht="61.5" customHeight="1" thickBot="1" x14ac:dyDescent="0.3">
      <c r="A22" s="86"/>
      <c r="B22" s="71" t="s">
        <v>22</v>
      </c>
      <c r="C22" s="72"/>
      <c r="D22" s="7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4">
        <v>1654</v>
      </c>
      <c r="P22" s="44">
        <f>(1002770742416+528483293360+144777681243)/1000000000</f>
        <v>1676.0317170190001</v>
      </c>
      <c r="Q22" s="44">
        <f>(16248417109225+87681910942+1440293936490)/1000000000</f>
        <v>17776.392956657</v>
      </c>
      <c r="R22" s="44">
        <f>(9402326308283+19953138620)/1000000000</f>
        <v>9422.2794469029996</v>
      </c>
      <c r="S22" s="45">
        <f>(5781709216479+5452844978)/1000000000</f>
        <v>5787.1620614570002</v>
      </c>
      <c r="T22" s="46">
        <f>(4339129167164.57)/1000000000</f>
        <v>4339.1291671645695</v>
      </c>
      <c r="U22" s="47">
        <f>(6822617351496.91)/1000000000</f>
        <v>6822.6173514969105</v>
      </c>
      <c r="V22" s="47">
        <f>(68009053845)/1000000000</f>
        <v>68.009053844999997</v>
      </c>
      <c r="W22" s="48"/>
      <c r="X22" s="48"/>
      <c r="Y22" s="48"/>
      <c r="Z22" s="49"/>
      <c r="AA22" s="49"/>
      <c r="AB22" s="49"/>
      <c r="AC22" s="50"/>
      <c r="AD22" s="51">
        <f>SUM(E22:AC22)</f>
        <v>47545.621754542481</v>
      </c>
    </row>
    <row r="23" spans="1:30" ht="29.25" x14ac:dyDescent="0.25">
      <c r="A23" s="86"/>
      <c r="B23" s="74" t="s">
        <v>23</v>
      </c>
      <c r="C23" s="75"/>
      <c r="D23" s="76"/>
      <c r="E23" s="52"/>
      <c r="F23" s="52"/>
      <c r="G23" s="52"/>
      <c r="H23" s="52"/>
      <c r="I23" s="52"/>
      <c r="J23" s="52"/>
      <c r="K23" s="52"/>
      <c r="L23" s="52"/>
      <c r="M23" s="52"/>
      <c r="N23" s="26">
        <f>(8128958481776)/1000000000</f>
        <v>8128.9584817759996</v>
      </c>
      <c r="O23" s="26">
        <f>(15753113497277)/1000000000</f>
        <v>15753.113497277</v>
      </c>
      <c r="P23" s="26">
        <f>(1543475122461)/1000000000</f>
        <v>1543.475122461</v>
      </c>
      <c r="Q23" s="26">
        <f>(12149710755536)/1000000000</f>
        <v>12149.710755536</v>
      </c>
      <c r="R23" s="26">
        <f>(30091261000000)/1000000000</f>
        <v>30091.260999999999</v>
      </c>
      <c r="S23" s="37"/>
      <c r="T23" s="16">
        <v>76697</v>
      </c>
      <c r="U23" s="9">
        <v>20710.597000000002</v>
      </c>
      <c r="V23" s="9">
        <v>7021.0788349140003</v>
      </c>
      <c r="W23" s="37">
        <v>7662</v>
      </c>
      <c r="X23" s="37">
        <v>4774</v>
      </c>
      <c r="Y23" s="37"/>
      <c r="Z23" s="26"/>
      <c r="AA23" s="16">
        <v>11.79076923076923</v>
      </c>
      <c r="AB23" s="16">
        <v>449769.24821599998</v>
      </c>
      <c r="AC23" s="22"/>
      <c r="AD23" s="36">
        <f>SUM(E23:AC23)</f>
        <v>634312.23367719469</v>
      </c>
    </row>
    <row r="24" spans="1:30" ht="30" thickBot="1" x14ac:dyDescent="0.3">
      <c r="A24" s="86"/>
      <c r="B24" s="71" t="s">
        <v>24</v>
      </c>
      <c r="C24" s="72"/>
      <c r="D24" s="73"/>
      <c r="E24" s="53">
        <f>E22+E4+E10+E23+E13+E16+E21</f>
        <v>93.6</v>
      </c>
      <c r="F24" s="53">
        <f>F22+F4+F10+F23+F13+F16+F21</f>
        <v>1012.764</v>
      </c>
      <c r="G24" s="53">
        <f>G22+G4+G10+G23+G13+G16+G21</f>
        <v>2470.7170000000001</v>
      </c>
      <c r="H24" s="53">
        <f>H22+H4+H10+H23+H13+H16+H21</f>
        <v>2813.0540000000001</v>
      </c>
      <c r="I24" s="53">
        <f>I22+I4+I10+I23+I13+I16+I21</f>
        <v>1537.241</v>
      </c>
      <c r="J24" s="53">
        <f>J22+J4+J10+J23+J13+J16+J21</f>
        <v>1636.2929999999999</v>
      </c>
      <c r="K24" s="53">
        <f>K22+K4+K10+K23+K13+K16+K21</f>
        <v>6288.3720000000003</v>
      </c>
      <c r="L24" s="53">
        <f>L22+L4+L10+L23+L13+L16+L21</f>
        <v>15014.574000000001</v>
      </c>
      <c r="M24" s="53">
        <f>M22+M4+M10+M23+M13+M16+M21</f>
        <v>19496.367999999999</v>
      </c>
      <c r="N24" s="53">
        <f>N22+N4+N10+N23+N13+N16+N21</f>
        <v>46244.958481775997</v>
      </c>
      <c r="O24" s="53">
        <f>O22+O4+O10+O23+O13+O16+O21</f>
        <v>71003.113497276994</v>
      </c>
      <c r="P24" s="53">
        <f>P22+P4+P10+P23+P13+P16+P21</f>
        <v>54715.506839480004</v>
      </c>
      <c r="Q24" s="53">
        <f>Q22+Q4+Q10+Q23+Q13+Q16+Q21</f>
        <v>144247.97468588702</v>
      </c>
      <c r="R24" s="53">
        <f>R22+R4+R10+R23+R13+R16+R21</f>
        <v>163513.49206707699</v>
      </c>
      <c r="S24" s="53">
        <f>S22+S4+S10+S23+S13+S16+S21</f>
        <v>105248.749299499</v>
      </c>
      <c r="T24" s="53">
        <f>T22+T4+T10+T23+T13+T16+T21</f>
        <v>160683.46268771859</v>
      </c>
      <c r="U24" s="53">
        <f>U22+U4+U10+U23+U13+U16+U21</f>
        <v>69310.818573492914</v>
      </c>
      <c r="V24" s="53">
        <f>V22+V4+V10+V23+V13+V16+V21</f>
        <v>58655.113637254479</v>
      </c>
      <c r="W24" s="53">
        <f>W22+W4+W10+W23+W13+W16+W21</f>
        <v>68553.723945459991</v>
      </c>
      <c r="X24" s="53">
        <f>X22+X4+X10+X23+X13+X16+X21</f>
        <v>355881.73016167484</v>
      </c>
      <c r="Y24" s="53">
        <f>Y22+Y4+Y10+Y23+Y13+Y16+Y21</f>
        <v>18377</v>
      </c>
      <c r="Z24" s="53">
        <f>Z22+Z4+Z10+Z23+Z13+Z16+Z21</f>
        <v>329939.74</v>
      </c>
      <c r="AA24" s="53">
        <f>AA22+AA4+AA10+AA23+AA13+AA16+AA21</f>
        <v>273877.02655143774</v>
      </c>
      <c r="AB24" s="53">
        <f>AB22+AB4+AB10+AB23+AB13+AB16+AB21</f>
        <v>779428.80580540432</v>
      </c>
      <c r="AC24" s="53">
        <f>AC22+AC4+AC7+AC23+AC13+AC16+AC21</f>
        <v>7115.5268919370001</v>
      </c>
      <c r="AD24" s="54">
        <f>SUM(E24:AC24)</f>
        <v>2757159.7261253758</v>
      </c>
    </row>
    <row r="25" spans="1:30" ht="33.75" thickBot="1" x14ac:dyDescent="0.9">
      <c r="A25" s="55"/>
      <c r="B25" s="56"/>
      <c r="C25" s="56"/>
      <c r="D25" s="56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ht="32.25" x14ac:dyDescent="0.25">
      <c r="A26" s="77" t="s">
        <v>1</v>
      </c>
      <c r="B26" s="78"/>
      <c r="C26" s="78"/>
      <c r="D26" s="78"/>
      <c r="E26" s="2">
        <v>1380</v>
      </c>
      <c r="F26" s="2">
        <v>1381</v>
      </c>
      <c r="G26" s="2">
        <v>1382</v>
      </c>
      <c r="H26" s="2">
        <v>1383</v>
      </c>
      <c r="I26" s="2">
        <v>1384</v>
      </c>
      <c r="J26" s="2">
        <v>1385</v>
      </c>
      <c r="K26" s="2">
        <v>1386</v>
      </c>
      <c r="L26" s="2">
        <v>1387</v>
      </c>
      <c r="M26" s="2">
        <v>1388</v>
      </c>
      <c r="N26" s="2">
        <v>1389</v>
      </c>
      <c r="O26" s="2">
        <v>1390</v>
      </c>
      <c r="P26" s="2">
        <v>1391</v>
      </c>
      <c r="Q26" s="2">
        <v>1392</v>
      </c>
      <c r="R26" s="2">
        <v>1393</v>
      </c>
      <c r="S26" s="2">
        <v>1394</v>
      </c>
      <c r="T26" s="2">
        <v>1395</v>
      </c>
      <c r="U26" s="2">
        <v>1396</v>
      </c>
      <c r="V26" s="2">
        <v>1397</v>
      </c>
      <c r="W26" s="2">
        <v>1398</v>
      </c>
      <c r="X26" s="2">
        <v>1399</v>
      </c>
      <c r="Y26" s="2">
        <v>1400</v>
      </c>
      <c r="Z26" s="2">
        <v>1401</v>
      </c>
      <c r="AA26" s="2">
        <v>1402</v>
      </c>
      <c r="AB26" s="2">
        <v>1403</v>
      </c>
      <c r="AC26" s="2">
        <v>1404</v>
      </c>
      <c r="AD26" s="3" t="s">
        <v>2</v>
      </c>
    </row>
    <row r="27" spans="1:30" ht="29.25" x14ac:dyDescent="0.25">
      <c r="A27" s="66" t="s">
        <v>25</v>
      </c>
      <c r="B27" s="67"/>
      <c r="C27" s="67"/>
      <c r="D27" s="67"/>
      <c r="E27" s="59">
        <f>E3+E9+E12+E15</f>
        <v>1200</v>
      </c>
      <c r="F27" s="59">
        <f>F3+F9+F12+F15</f>
        <v>6000</v>
      </c>
      <c r="G27" s="59">
        <f>G3+G9+G12+G15</f>
        <v>7000</v>
      </c>
      <c r="H27" s="59">
        <f>H3+H9+H12+H15</f>
        <v>11000</v>
      </c>
      <c r="I27" s="59">
        <f>I3+I9+I12+I15</f>
        <v>5000</v>
      </c>
      <c r="J27" s="59">
        <f>J3+J9+J12+J15</f>
        <v>7400</v>
      </c>
      <c r="K27" s="59">
        <f>K3+K9+K12+K15</f>
        <v>30000</v>
      </c>
      <c r="L27" s="59">
        <f>L3+L9+L12+L15</f>
        <v>30000</v>
      </c>
      <c r="M27" s="59">
        <f>M3+M9+M12+M15</f>
        <v>32100</v>
      </c>
      <c r="N27" s="59">
        <f>N3+N9+N12+N15</f>
        <v>45000</v>
      </c>
      <c r="O27" s="59">
        <f>O3+O9+O12+O15</f>
        <v>45000</v>
      </c>
      <c r="P27" s="59">
        <f>P3+P9+P12+P15</f>
        <v>65000</v>
      </c>
      <c r="Q27" s="59">
        <f>Q3+Q9+Q12+Q15</f>
        <v>312000</v>
      </c>
      <c r="R27" s="59">
        <f>R3+R9+R12+R15</f>
        <v>181000</v>
      </c>
      <c r="S27" s="59">
        <f>S3+S9+S12+S15</f>
        <v>181000</v>
      </c>
      <c r="T27" s="59">
        <f>T3+T9+T12+T15</f>
        <v>165500</v>
      </c>
      <c r="U27" s="59">
        <v>105000</v>
      </c>
      <c r="V27" s="59">
        <f>V3+V9+V12+V15</f>
        <v>71000</v>
      </c>
      <c r="W27" s="59">
        <f>W15+W12+W9+W3</f>
        <v>50750</v>
      </c>
      <c r="X27" s="29">
        <f>X15+X12+X9+X3+5000</f>
        <v>119871</v>
      </c>
      <c r="Y27" s="59">
        <v>959000</v>
      </c>
      <c r="Z27" s="59">
        <f>Z15+Z12+Z9+Z3</f>
        <v>712000</v>
      </c>
      <c r="AA27" s="29">
        <f>AA3+AA9+AA15+AA18</f>
        <v>1060000</v>
      </c>
      <c r="AB27" s="60">
        <f>AB3+AB9+AB15+AB18</f>
        <v>600000</v>
      </c>
      <c r="AC27" s="60">
        <f>AC3+AC9+AC6+AC15+AC18</f>
        <v>2151500</v>
      </c>
      <c r="AD27" s="61">
        <f>SUM(E27:AC27)</f>
        <v>6953321</v>
      </c>
    </row>
    <row r="28" spans="1:30" ht="29.25" x14ac:dyDescent="0.25">
      <c r="A28" s="66" t="s">
        <v>26</v>
      </c>
      <c r="B28" s="67"/>
      <c r="C28" s="67"/>
      <c r="D28" s="67"/>
      <c r="E28" s="29">
        <f>E4+E10+E13+E16+E21+E22+E23</f>
        <v>93.6</v>
      </c>
      <c r="F28" s="59">
        <f>F4+F10+F13+F16+F21+F22+F23</f>
        <v>1012.764</v>
      </c>
      <c r="G28" s="59">
        <f>G4+G10+G13+G16+G21+G22+G23</f>
        <v>2470.7170000000001</v>
      </c>
      <c r="H28" s="59">
        <f>H4+H10+H13+H16+H21+H22+H23</f>
        <v>2813.0540000000001</v>
      </c>
      <c r="I28" s="59">
        <f>I4+I10+I13+I16+I21+I22+I23</f>
        <v>1537.241</v>
      </c>
      <c r="J28" s="59">
        <f>J4+J10+J13+J16+J21+J22+J23</f>
        <v>1636.2929999999999</v>
      </c>
      <c r="K28" s="59">
        <f>K4+K10+K13+K16+K21+K22+K23</f>
        <v>6288.3720000000003</v>
      </c>
      <c r="L28" s="59">
        <f>L4+L10+L13+L16+L21+L22+L23</f>
        <v>15014.574000000001</v>
      </c>
      <c r="M28" s="59">
        <f>M4+M10+M13+M16+M21+M22+M23</f>
        <v>19496.367999999999</v>
      </c>
      <c r="N28" s="59">
        <f>N4+N10+N13+N16+N21+N22+N23</f>
        <v>46244.958481775997</v>
      </c>
      <c r="O28" s="59">
        <f>O4+O10+O13+O16+O21+O22+O23</f>
        <v>71003.113497276994</v>
      </c>
      <c r="P28" s="59">
        <f>P4+P10+P13+P16+P21+P22+P23</f>
        <v>54715.506839480004</v>
      </c>
      <c r="Q28" s="59">
        <f>Q4+Q10+Q13+Q16+Q21+Q22+Q23</f>
        <v>144247.97468588702</v>
      </c>
      <c r="R28" s="59">
        <f>R4+R10+R13+R16+R21+R22+R23</f>
        <v>163513.49206707699</v>
      </c>
      <c r="S28" s="59">
        <f>S4+S10+S13+S16+S21+S22+S23</f>
        <v>105248.749299499</v>
      </c>
      <c r="T28" s="59">
        <f>T4+T10+T13+T16+T21+T22+T23</f>
        <v>160683.46268771857</v>
      </c>
      <c r="U28" s="59">
        <f>U4+U10+U13+U16+U21+U22+U23</f>
        <v>69310.818573492928</v>
      </c>
      <c r="V28" s="59">
        <f>V4+V10+V13+V16+V21+V22+V23</f>
        <v>58655.113637254479</v>
      </c>
      <c r="W28" s="59">
        <f>W24</f>
        <v>68553.723945459991</v>
      </c>
      <c r="X28" s="29">
        <f>X24</f>
        <v>355881.73016167484</v>
      </c>
      <c r="Y28" s="29">
        <f>Y24</f>
        <v>18377</v>
      </c>
      <c r="Z28" s="59">
        <f>Z24</f>
        <v>329939.74</v>
      </c>
      <c r="AA28" s="29">
        <f>AA24</f>
        <v>273877.02655143774</v>
      </c>
      <c r="AB28" s="60">
        <f>AB24</f>
        <v>779428.80580540432</v>
      </c>
      <c r="AC28" s="60">
        <f>AC24</f>
        <v>7115.5268919370001</v>
      </c>
      <c r="AD28" s="61">
        <f>SUM(E28:AC28)</f>
        <v>2757159.7261253758</v>
      </c>
    </row>
    <row r="29" spans="1:30" ht="30" thickBot="1" x14ac:dyDescent="0.3">
      <c r="A29" s="68" t="s">
        <v>27</v>
      </c>
      <c r="B29" s="69"/>
      <c r="C29" s="69"/>
      <c r="D29" s="69"/>
      <c r="E29" s="11">
        <f>E28/E27</f>
        <v>7.8E-2</v>
      </c>
      <c r="F29" s="11">
        <f t="shared" ref="F29:U29" si="1">F28/F27</f>
        <v>0.168794</v>
      </c>
      <c r="G29" s="11">
        <f t="shared" si="1"/>
        <v>0.35295957142857143</v>
      </c>
      <c r="H29" s="11">
        <f t="shared" si="1"/>
        <v>0.2557321818181818</v>
      </c>
      <c r="I29" s="11">
        <f t="shared" si="1"/>
        <v>0.3074482</v>
      </c>
      <c r="J29" s="11">
        <f t="shared" si="1"/>
        <v>0.22112067567567567</v>
      </c>
      <c r="K29" s="11">
        <f t="shared" si="1"/>
        <v>0.2096124</v>
      </c>
      <c r="L29" s="11">
        <f t="shared" si="1"/>
        <v>0.50048579999999998</v>
      </c>
      <c r="M29" s="11">
        <f t="shared" si="1"/>
        <v>0.60736348909657312</v>
      </c>
      <c r="N29" s="11">
        <f t="shared" si="1"/>
        <v>1.0276657440394665</v>
      </c>
      <c r="O29" s="11">
        <f t="shared" si="1"/>
        <v>1.5778469666061554</v>
      </c>
      <c r="P29" s="11">
        <f t="shared" si="1"/>
        <v>0.84177702829969236</v>
      </c>
      <c r="Q29" s="11">
        <f t="shared" si="1"/>
        <v>0.46233325219835586</v>
      </c>
      <c r="R29" s="11">
        <f t="shared" si="1"/>
        <v>0.90338945893412703</v>
      </c>
      <c r="S29" s="11">
        <f t="shared" si="1"/>
        <v>0.58148480275966297</v>
      </c>
      <c r="T29" s="11">
        <f t="shared" si="1"/>
        <v>0.97089705551491579</v>
      </c>
      <c r="U29" s="11">
        <f t="shared" si="1"/>
        <v>0.66010303403326598</v>
      </c>
      <c r="V29" s="11">
        <f>V28/V27</f>
        <v>0.82612836108809129</v>
      </c>
      <c r="W29" s="11">
        <f>W28/W27</f>
        <v>1.3508122944918224</v>
      </c>
      <c r="X29" s="11">
        <f>X28/X27</f>
        <v>2.9688726227500801</v>
      </c>
      <c r="Y29" s="11">
        <f>Y28/Y27</f>
        <v>1.916266944734098E-2</v>
      </c>
      <c r="Z29" s="11">
        <f>Z28/Z27</f>
        <v>0.46339851123595505</v>
      </c>
      <c r="AA29" s="11">
        <v>0.14000000000000001</v>
      </c>
      <c r="AB29" s="11">
        <f>AB28/AB27</f>
        <v>1.2990480096756738</v>
      </c>
      <c r="AC29" s="62">
        <f>AC28/AC27</f>
        <v>3.3072400148440625E-3</v>
      </c>
      <c r="AD29" s="63">
        <f>AD28/AD27</f>
        <v>0.39652415387199524</v>
      </c>
    </row>
    <row r="30" spans="1:30" ht="33" x14ac:dyDescent="0.8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64"/>
      <c r="U30" s="64"/>
      <c r="V30" s="64"/>
      <c r="W30" s="64"/>
      <c r="X30" s="65"/>
      <c r="Y30" s="65"/>
      <c r="Z30" s="65"/>
      <c r="AA30" s="65"/>
      <c r="AB30" s="65"/>
      <c r="AC30" s="65"/>
      <c r="AD30" s="64"/>
    </row>
  </sheetData>
  <mergeCells count="30">
    <mergeCell ref="B15:D15"/>
    <mergeCell ref="A1:AD1"/>
    <mergeCell ref="B2:D2"/>
    <mergeCell ref="A3:A24"/>
    <mergeCell ref="B3:D3"/>
    <mergeCell ref="B5:D5"/>
    <mergeCell ref="B6:D6"/>
    <mergeCell ref="B7:D7"/>
    <mergeCell ref="B8:D8"/>
    <mergeCell ref="B9:D9"/>
    <mergeCell ref="B4:D4"/>
    <mergeCell ref="B10:D10"/>
    <mergeCell ref="B11:D11"/>
    <mergeCell ref="B12:D12"/>
    <mergeCell ref="B13:D13"/>
    <mergeCell ref="B14:D14"/>
    <mergeCell ref="B16:D16"/>
    <mergeCell ref="B17:D17"/>
    <mergeCell ref="B18:D18"/>
    <mergeCell ref="B19:D19"/>
    <mergeCell ref="B20:D20"/>
    <mergeCell ref="B21:D21"/>
    <mergeCell ref="B22:D22"/>
    <mergeCell ref="A27:D27"/>
    <mergeCell ref="A28:D28"/>
    <mergeCell ref="A29:D29"/>
    <mergeCell ref="A30:S30"/>
    <mergeCell ref="B23:D23"/>
    <mergeCell ref="B24:D24"/>
    <mergeCell ref="A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مینا طایفه</dc:creator>
  <cp:lastModifiedBy>مینا طایفه</cp:lastModifiedBy>
  <dcterms:created xsi:type="dcterms:W3CDTF">2025-07-19T05:38:37Z</dcterms:created>
  <dcterms:modified xsi:type="dcterms:W3CDTF">2025-07-19T06:15:16Z</dcterms:modified>
</cp:coreProperties>
</file>